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H:\My Documents\Middletown Planning\Sustainable MD Certified\Energy action items\"/>
    </mc:Choice>
  </mc:AlternateContent>
  <xr:revisionPtr revIDLastSave="0" documentId="8_{AAF3D6A9-BC68-4233-AEA2-6EAE72B58F98}" xr6:coauthVersionLast="47" xr6:coauthVersionMax="47" xr10:uidLastSave="{00000000-0000-0000-0000-000000000000}"/>
  <workbookProtection lockStructure="1"/>
  <bookViews>
    <workbookView xWindow="-120" yWindow="-120" windowWidth="29040" windowHeight="15840" xr2:uid="{00000000-000D-0000-FFFF-FFFF00000000}"/>
  </bookViews>
  <sheets>
    <sheet name="Analysis" sheetId="1" r:id="rId1"/>
    <sheet name="Sheet1" sheetId="2" r:id="rId2"/>
  </sheets>
  <definedNames>
    <definedName name="_xlnm._FilterDatabase" localSheetId="0" hidden="1">Analysis!$B$5:$J$5</definedName>
    <definedName name="_xlnm.Print_Area" localSheetId="0">Analysis!$A$1:$O$41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T18" i="1" l="1"/>
  <c r="U17" i="1"/>
  <c r="U16" i="1"/>
  <c r="S18" i="1"/>
  <c r="I15" i="1" l="1"/>
  <c r="I14" i="1"/>
  <c r="I13" i="1"/>
  <c r="I11" i="1"/>
  <c r="I7" i="1"/>
  <c r="I10" i="1"/>
  <c r="I9" i="1"/>
  <c r="I8" i="1"/>
  <c r="I6" i="1"/>
  <c r="I12" i="1" l="1"/>
  <c r="U15" i="1" l="1"/>
  <c r="U14" i="1"/>
  <c r="U13" i="1"/>
  <c r="U12" i="1"/>
  <c r="U11" i="1"/>
  <c r="U10" i="1"/>
  <c r="U9" i="1"/>
  <c r="U8" i="1"/>
  <c r="U7" i="1"/>
  <c r="U6" i="1"/>
  <c r="L6" i="1" l="1"/>
  <c r="K3" i="1" l="1"/>
  <c r="L3" i="1" l="1"/>
  <c r="M6" i="1"/>
  <c r="O3" i="1" l="1"/>
  <c r="O17" i="1" s="1"/>
  <c r="O10" i="1"/>
  <c r="O6" i="1"/>
  <c r="O8" i="1"/>
  <c r="O9" i="1"/>
  <c r="O7" i="1"/>
  <c r="K6" i="1"/>
  <c r="K7" i="1" s="1"/>
  <c r="K8" i="1" s="1"/>
  <c r="K9" i="1" s="1"/>
  <c r="K10" i="1" s="1"/>
  <c r="K11" i="1" s="1"/>
  <c r="K12" i="1" s="1"/>
  <c r="K13" i="1" s="1"/>
  <c r="K14" i="1" s="1"/>
  <c r="K15" i="1" s="1"/>
  <c r="L7" i="1"/>
  <c r="M7" i="1" s="1"/>
  <c r="L8" i="1" l="1"/>
  <c r="M8" i="1" s="1"/>
  <c r="L9" i="1" l="1"/>
  <c r="M9" i="1" s="1"/>
  <c r="L10" i="1" l="1"/>
  <c r="M10" i="1" s="1"/>
  <c r="L11" i="1" l="1"/>
  <c r="L12" i="1" l="1"/>
  <c r="M12" i="1" s="1"/>
  <c r="M11" i="1"/>
  <c r="L13" i="1" l="1"/>
  <c r="M13" i="1" s="1"/>
  <c r="L14" i="1" l="1"/>
  <c r="M14" i="1" s="1"/>
  <c r="L15" i="1" l="1"/>
  <c r="M15" i="1" s="1"/>
</calcChain>
</file>

<file path=xl/sharedStrings.xml><?xml version="1.0" encoding="utf-8"?>
<sst xmlns="http://schemas.openxmlformats.org/spreadsheetml/2006/main" count="88" uniqueCount="49">
  <si>
    <t>Account
Number</t>
  </si>
  <si>
    <t>Account
Name</t>
  </si>
  <si>
    <t>Submitted Order</t>
  </si>
  <si>
    <t>Account Number</t>
  </si>
  <si>
    <t>Account Name</t>
  </si>
  <si>
    <t>Meter Read Cycle</t>
  </si>
  <si>
    <t>CCS Annual
Usage (kwh/year)</t>
  </si>
  <si>
    <t>Usage Dates</t>
  </si>
  <si>
    <t>Generation Balance (kwh/year)</t>
  </si>
  <si>
    <t>Cumulative Consumption (kwh/year)</t>
  </si>
  <si>
    <t>Cumulative % of Generation</t>
  </si>
  <si>
    <t>Qualified</t>
  </si>
  <si>
    <t>Not Qualified due to exceeding 110%</t>
  </si>
  <si>
    <t>Not Qualified due to Unmetered Account</t>
  </si>
  <si>
    <t>Will Qualify; pending cellular metering</t>
  </si>
  <si>
    <t>Not Qualified due to Meter Read Cycle</t>
  </si>
  <si>
    <t>Correct  Order</t>
  </si>
  <si>
    <t>Premise Number</t>
  </si>
  <si>
    <t>Not Qualified - Account does not exist</t>
  </si>
  <si>
    <t>Not Qualified - Pending eligibility confirmation</t>
  </si>
  <si>
    <t>Qualified - Cellular Meter</t>
  </si>
  <si>
    <t>Net Excess Generation (kwh/year)</t>
  </si>
  <si>
    <t>Host Annual
Usage (kwh/year)</t>
  </si>
  <si>
    <t>Not Qualified  - Account already aggregated</t>
  </si>
  <si>
    <t>110% Net Excess Generation (kwh/year)</t>
  </si>
  <si>
    <t>Host Generation (kwh/year)</t>
  </si>
  <si>
    <t>Add/ Remove</t>
  </si>
  <si>
    <t>Middletown</t>
  </si>
  <si>
    <t>GEN-MD-614</t>
  </si>
  <si>
    <t>Holter Rd, Middletown, MD 21769</t>
  </si>
  <si>
    <t>Mar 17- Mar 18</t>
  </si>
  <si>
    <t>Middeltown Burgess &amp; Co</t>
  </si>
  <si>
    <t>D11</t>
  </si>
  <si>
    <t>Middletown Burgess &amp; Co</t>
  </si>
  <si>
    <t>D10</t>
  </si>
  <si>
    <t>East WWTP</t>
  </si>
  <si>
    <t>West WWTP</t>
  </si>
  <si>
    <t>Water Booster Plant</t>
  </si>
  <si>
    <t>Cone Branch PS</t>
  </si>
  <si>
    <t>Municipal Center</t>
  </si>
  <si>
    <t>Brookridge WTP</t>
  </si>
  <si>
    <t>Town Locations/Facilities</t>
  </si>
  <si>
    <t>Food Bank</t>
  </si>
  <si>
    <t>Hollow Road - Wells #1 &amp; #2</t>
  </si>
  <si>
    <t xml:space="preserve">Hollow Road  </t>
  </si>
  <si>
    <t>Foxfield PS</t>
  </si>
  <si>
    <t>GENERATION REPORT from Middletown Solar Array</t>
  </si>
  <si>
    <t>Solar Array</t>
  </si>
  <si>
    <t>Bill Allocation as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</si>
</sst>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%"/>
  </numFmts>
  <fonts count="8" x14ac:knownFonts="1">
    <font>
      <sz val="12"/>
      <color theme="1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1" tint="0.499984740745262"/>
      <name val="Arial"/>
      <family val="2"/>
    </font>
    <font>
      <b/>
      <sz val="16"/>
      <color theme="1"/>
      <name val="Arial"/>
      <family val="2"/>
    </font>
    <font>
      <b/>
      <sz val="2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55">
    <xf numFmtId="0" fontId="0" fillId="0" borderId="0" xfId="0"/>
    <xf numFmtId="0" fontId="0" fillId="0" borderId="0" xfId="0" applyBorder="1" applyAlignment="1">
      <alignment horizontal="center" vertical="center"/>
    </xf>
    <xf numFmtId="3" fontId="0" fillId="0" borderId="0" xfId="0" applyNumberFormat="1" applyBorder="1" applyAlignment="1">
      <alignment horizontal="center" vertical="center"/>
    </xf>
    <xf numFmtId="3" fontId="0" fillId="0" borderId="0" xfId="0" applyNumberFormat="1" applyBorder="1" applyAlignment="1">
      <alignment horizontal="center" vertical="center" wrapText="1"/>
    </xf>
    <xf numFmtId="1" fontId="0" fillId="0" borderId="0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Fill="1" applyBorder="1" applyAlignment="1">
      <alignment horizontal="center" vertical="center" wrapText="1"/>
    </xf>
    <xf numFmtId="1" fontId="0" fillId="2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3" fontId="0" fillId="2" borderId="0" xfId="0" applyNumberForma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9" fontId="0" fillId="0" borderId="0" xfId="1" applyFont="1" applyAlignment="1">
      <alignment horizontal="center" vertical="center"/>
    </xf>
    <xf numFmtId="9" fontId="0" fillId="0" borderId="0" xfId="1" applyFont="1" applyBorder="1" applyAlignment="1">
      <alignment horizontal="center" vertical="center"/>
    </xf>
    <xf numFmtId="3" fontId="4" fillId="0" borderId="2" xfId="0" applyNumberFormat="1" applyFont="1" applyBorder="1" applyAlignment="1">
      <alignment horizontal="center" vertical="center" wrapText="1"/>
    </xf>
    <xf numFmtId="1" fontId="0" fillId="2" borderId="0" xfId="0" applyNumberFormat="1" applyFill="1" applyBorder="1" applyAlignment="1">
      <alignment horizontal="center" vertical="center" wrapText="1"/>
    </xf>
    <xf numFmtId="3" fontId="0" fillId="2" borderId="3" xfId="0" applyNumberFormat="1" applyFill="1" applyBorder="1" applyAlignment="1">
      <alignment horizontal="center" vertical="center"/>
    </xf>
    <xf numFmtId="1" fontId="1" fillId="2" borderId="3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3" fontId="1" fillId="2" borderId="3" xfId="0" applyNumberFormat="1" applyFont="1" applyFill="1" applyBorder="1" applyAlignment="1">
      <alignment horizontal="center" vertical="center"/>
    </xf>
    <xf numFmtId="3" fontId="2" fillId="0" borderId="4" xfId="0" applyNumberFormat="1" applyFont="1" applyFill="1" applyBorder="1" applyAlignment="1">
      <alignment horizontal="center" vertical="center"/>
    </xf>
    <xf numFmtId="1" fontId="4" fillId="0" borderId="0" xfId="0" applyNumberFormat="1" applyFont="1" applyBorder="1" applyAlignment="1">
      <alignment horizontal="left" vertical="center"/>
    </xf>
    <xf numFmtId="14" fontId="4" fillId="0" borderId="0" xfId="0" applyNumberFormat="1" applyFont="1" applyBorder="1" applyAlignment="1">
      <alignment horizontal="center" vertical="center"/>
    </xf>
    <xf numFmtId="3" fontId="2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" fontId="1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3" fontId="1" fillId="2" borderId="0" xfId="0" applyNumberFormat="1" applyFont="1" applyFill="1" applyBorder="1" applyAlignment="1">
      <alignment horizontal="center" vertical="center"/>
    </xf>
    <xf numFmtId="3" fontId="0" fillId="0" borderId="5" xfId="0" applyNumberFormat="1" applyBorder="1" applyAlignment="1">
      <alignment horizontal="center" vertical="center"/>
    </xf>
    <xf numFmtId="3" fontId="0" fillId="0" borderId="6" xfId="0" applyNumberFormat="1" applyBorder="1" applyAlignment="1">
      <alignment horizontal="center" vertical="center"/>
    </xf>
    <xf numFmtId="3" fontId="0" fillId="0" borderId="7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" fontId="5" fillId="0" borderId="0" xfId="0" applyNumberFormat="1" applyFont="1" applyFill="1" applyBorder="1" applyAlignment="1">
      <alignment horizontal="center" vertical="center"/>
    </xf>
    <xf numFmtId="1" fontId="5" fillId="0" borderId="4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3" fontId="1" fillId="0" borderId="0" xfId="0" applyNumberFormat="1" applyFont="1" applyFill="1" applyBorder="1" applyAlignment="1">
      <alignment horizontal="center" vertical="center"/>
    </xf>
    <xf numFmtId="3" fontId="1" fillId="0" borderId="4" xfId="0" applyNumberFormat="1" applyFont="1" applyFill="1" applyBorder="1" applyAlignment="1">
      <alignment horizontal="center" vertical="center"/>
    </xf>
    <xf numFmtId="3" fontId="4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9" fontId="4" fillId="0" borderId="9" xfId="1" applyFont="1" applyBorder="1" applyAlignment="1">
      <alignment horizontal="center" vertical="center" wrapText="1"/>
    </xf>
    <xf numFmtId="9" fontId="0" fillId="2" borderId="3" xfId="1" applyFont="1" applyFill="1" applyBorder="1" applyAlignment="1">
      <alignment horizontal="center" vertical="center"/>
    </xf>
    <xf numFmtId="9" fontId="0" fillId="2" borderId="0" xfId="1" applyFont="1" applyFill="1" applyBorder="1" applyAlignment="1">
      <alignment horizontal="center" vertical="center"/>
    </xf>
    <xf numFmtId="9" fontId="2" fillId="0" borderId="0" xfId="1" applyFont="1" applyFill="1" applyBorder="1" applyAlignment="1">
      <alignment horizontal="center" vertical="center"/>
    </xf>
    <xf numFmtId="9" fontId="2" fillId="0" borderId="4" xfId="1" applyFont="1" applyFill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164" fontId="0" fillId="0" borderId="1" xfId="1" applyNumberFormat="1" applyFon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10" xfId="0" applyNumberForma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2">
    <dxf>
      <fill>
        <patternFill>
          <bgColor theme="9" tint="0.59996337778862885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20</xdr:row>
      <xdr:rowOff>134155</xdr:rowOff>
    </xdr:from>
    <xdr:to>
      <xdr:col>8</xdr:col>
      <xdr:colOff>466793</xdr:colOff>
      <xdr:row>40</xdr:row>
      <xdr:rowOff>13416</xdr:rowOff>
    </xdr:to>
    <xdr:pic>
      <xdr:nvPicPr>
        <xdr:cNvPr id="3" name="Graphic 2">
          <a:extLst>
            <a:ext uri="{FF2B5EF4-FFF2-40B4-BE49-F238E27FC236}">
              <a16:creationId xmlns:a16="http://schemas.microsoft.com/office/drawing/2014/main" id="{8A714682-13E1-46B1-8294-FEB41ADFE7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778099" y="7552923"/>
          <a:ext cx="12929786" cy="55137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8"/>
  <sheetViews>
    <sheetView tabSelected="1" zoomScale="71" zoomScaleNormal="71" workbookViewId="0">
      <selection activeCell="B3" sqref="B3"/>
    </sheetView>
  </sheetViews>
  <sheetFormatPr defaultColWidth="9.109375" defaultRowHeight="22.7" customHeight="1" x14ac:dyDescent="0.2"/>
  <cols>
    <col min="1" max="1" width="9.109375" style="1"/>
    <col min="2" max="2" width="36.5546875" style="1" bestFit="1" customWidth="1"/>
    <col min="3" max="3" width="26.44140625" style="4" bestFit="1" customWidth="1"/>
    <col min="4" max="4" width="22.21875" style="4" customWidth="1"/>
    <col min="5" max="5" width="30.5546875" style="1" bestFit="1" customWidth="1"/>
    <col min="6" max="6" width="8.33203125" style="1" customWidth="1"/>
    <col min="7" max="7" width="11.109375" style="2" customWidth="1"/>
    <col min="8" max="8" width="10.21875" style="2" customWidth="1"/>
    <col min="9" max="9" width="13.109375" style="2" customWidth="1"/>
    <col min="10" max="10" width="13.6640625" style="2" customWidth="1"/>
    <col min="11" max="11" width="14" style="5" customWidth="1"/>
    <col min="12" max="12" width="12.6640625" style="1" customWidth="1"/>
    <col min="13" max="13" width="11.109375" style="14" customWidth="1"/>
    <col min="14" max="14" width="38.88671875" style="1" customWidth="1"/>
    <col min="15" max="15" width="26" style="1" customWidth="1"/>
    <col min="16" max="16384" width="9.109375" style="1"/>
  </cols>
  <sheetData>
    <row r="1" spans="1:21" ht="22.7" customHeight="1" x14ac:dyDescent="0.2">
      <c r="C1" s="22" t="s">
        <v>27</v>
      </c>
      <c r="D1" s="25"/>
      <c r="E1" s="25" t="s">
        <v>28</v>
      </c>
      <c r="F1" s="22" t="s">
        <v>29</v>
      </c>
      <c r="L1" s="23">
        <v>43210</v>
      </c>
    </row>
    <row r="2" spans="1:21" ht="63" x14ac:dyDescent="0.2">
      <c r="C2" s="10" t="s">
        <v>3</v>
      </c>
      <c r="D2" s="10" t="s">
        <v>17</v>
      </c>
      <c r="E2" s="10" t="s">
        <v>4</v>
      </c>
      <c r="F2" s="11" t="s">
        <v>5</v>
      </c>
      <c r="G2" s="1"/>
      <c r="I2" s="12" t="s">
        <v>22</v>
      </c>
      <c r="J2" s="12" t="s">
        <v>25</v>
      </c>
      <c r="K2" s="12" t="s">
        <v>21</v>
      </c>
      <c r="L2" s="12" t="s">
        <v>24</v>
      </c>
      <c r="M2" s="13"/>
      <c r="N2" s="46" t="s">
        <v>41</v>
      </c>
      <c r="O2" s="47" t="s">
        <v>48</v>
      </c>
    </row>
    <row r="3" spans="1:21" ht="22.7" customHeight="1" x14ac:dyDescent="0.2">
      <c r="C3" s="16">
        <v>110105557067</v>
      </c>
      <c r="D3" s="16">
        <v>5001324077</v>
      </c>
      <c r="E3" s="7" t="s">
        <v>31</v>
      </c>
      <c r="F3" s="8" t="s">
        <v>32</v>
      </c>
      <c r="G3" s="9"/>
      <c r="H3" s="9"/>
      <c r="I3" s="9">
        <v>7285</v>
      </c>
      <c r="J3" s="9">
        <v>1127855</v>
      </c>
      <c r="K3" s="9">
        <f>J3-I3</f>
        <v>1120570</v>
      </c>
      <c r="L3" s="9">
        <f>K3*1.1</f>
        <v>1232627</v>
      </c>
      <c r="N3" s="48" t="s">
        <v>47</v>
      </c>
      <c r="O3" s="52">
        <f>+I3/L3</f>
        <v>5.9101415107733323E-3</v>
      </c>
    </row>
    <row r="4" spans="1:21" ht="22.7" customHeight="1" x14ac:dyDescent="0.2">
      <c r="C4" s="6"/>
      <c r="D4" s="6"/>
      <c r="E4" s="4"/>
      <c r="N4" s="48"/>
      <c r="O4" s="48"/>
    </row>
    <row r="5" spans="1:21" s="3" customFormat="1" ht="48" thickBot="1" x14ac:dyDescent="0.25">
      <c r="A5" s="3" t="s">
        <v>26</v>
      </c>
      <c r="C5" s="15" t="s">
        <v>0</v>
      </c>
      <c r="D5" s="15" t="s">
        <v>17</v>
      </c>
      <c r="E5" s="15" t="s">
        <v>1</v>
      </c>
      <c r="F5" s="15" t="s">
        <v>5</v>
      </c>
      <c r="G5" s="15" t="s">
        <v>2</v>
      </c>
      <c r="H5" s="15" t="s">
        <v>16</v>
      </c>
      <c r="I5" s="15" t="s">
        <v>6</v>
      </c>
      <c r="J5" s="15" t="s">
        <v>7</v>
      </c>
      <c r="K5" s="15" t="s">
        <v>8</v>
      </c>
      <c r="L5" s="15" t="s">
        <v>9</v>
      </c>
      <c r="M5" s="41" t="s">
        <v>10</v>
      </c>
      <c r="N5" s="49"/>
      <c r="O5" s="49"/>
      <c r="S5" s="3">
        <v>584</v>
      </c>
      <c r="T5" s="3">
        <v>103416</v>
      </c>
    </row>
    <row r="6" spans="1:21" ht="29.45" customHeight="1" x14ac:dyDescent="0.2">
      <c r="A6" s="32"/>
      <c r="B6" s="29" t="s">
        <v>11</v>
      </c>
      <c r="C6" s="18">
        <v>110096771248</v>
      </c>
      <c r="D6" s="18">
        <v>5001004722</v>
      </c>
      <c r="E6" s="19" t="s">
        <v>33</v>
      </c>
      <c r="F6" s="19" t="s">
        <v>32</v>
      </c>
      <c r="G6" s="20"/>
      <c r="H6" s="20">
        <v>1</v>
      </c>
      <c r="I6" s="20">
        <f>192*(5693-2939)</f>
        <v>528768</v>
      </c>
      <c r="J6" s="20" t="s">
        <v>30</v>
      </c>
      <c r="K6" s="17">
        <f>$L$3-I$6</f>
        <v>703859</v>
      </c>
      <c r="L6" s="17">
        <f>I$6</f>
        <v>528768</v>
      </c>
      <c r="M6" s="42">
        <f>L6/K$3</f>
        <v>0.47187413548461943</v>
      </c>
      <c r="N6" s="50" t="s">
        <v>35</v>
      </c>
      <c r="O6" s="52">
        <f>+I6/$L$3</f>
        <v>0.42897648680419947</v>
      </c>
      <c r="S6" s="1">
        <v>508</v>
      </c>
      <c r="T6" s="1">
        <v>98352</v>
      </c>
      <c r="U6" s="1">
        <f>S6-T6</f>
        <v>-97844</v>
      </c>
    </row>
    <row r="7" spans="1:21" ht="29.45" customHeight="1" x14ac:dyDescent="0.2">
      <c r="A7" s="32"/>
      <c r="B7" s="30" t="s">
        <v>11</v>
      </c>
      <c r="C7" s="26">
        <v>110096776569</v>
      </c>
      <c r="D7" s="26">
        <v>5000893414</v>
      </c>
      <c r="E7" s="26" t="s">
        <v>33</v>
      </c>
      <c r="F7" s="27" t="s">
        <v>32</v>
      </c>
      <c r="G7" s="28"/>
      <c r="H7" s="28">
        <v>2</v>
      </c>
      <c r="I7" s="28">
        <f>95982+100000+100000+100000-31723</f>
        <v>364259</v>
      </c>
      <c r="J7" s="28" t="s">
        <v>30</v>
      </c>
      <c r="K7" s="9">
        <f>K$6-I$7</f>
        <v>339600</v>
      </c>
      <c r="L7" s="9">
        <f>L$6+I$7</f>
        <v>893027</v>
      </c>
      <c r="M7" s="43">
        <f>L7/K$3</f>
        <v>0.79693995020391406</v>
      </c>
      <c r="N7" s="50" t="s">
        <v>36</v>
      </c>
      <c r="O7" s="52">
        <f t="shared" ref="O7:O10" si="0">+I7/$L$3</f>
        <v>0.29551437701754057</v>
      </c>
      <c r="S7" s="1">
        <v>436</v>
      </c>
      <c r="T7" s="1">
        <v>97325</v>
      </c>
      <c r="U7" s="1">
        <f t="shared" ref="U7:U17" si="1">S7-T7</f>
        <v>-96889</v>
      </c>
    </row>
    <row r="8" spans="1:21" ht="29.45" customHeight="1" x14ac:dyDescent="0.2">
      <c r="A8" s="32"/>
      <c r="B8" s="30" t="s">
        <v>11</v>
      </c>
      <c r="C8" s="26">
        <v>110096788135</v>
      </c>
      <c r="D8" s="26">
        <v>5000449459</v>
      </c>
      <c r="E8" s="26" t="s">
        <v>33</v>
      </c>
      <c r="F8" s="27" t="s">
        <v>32</v>
      </c>
      <c r="G8" s="28"/>
      <c r="H8" s="28">
        <v>3</v>
      </c>
      <c r="I8" s="28">
        <f>96*(5780-4144)</f>
        <v>157056</v>
      </c>
      <c r="J8" s="28" t="s">
        <v>30</v>
      </c>
      <c r="K8" s="9">
        <f>K$7-I$8</f>
        <v>182544</v>
      </c>
      <c r="L8" s="9">
        <f>L$7+I$8</f>
        <v>1050083</v>
      </c>
      <c r="M8" s="43">
        <f t="shared" ref="M8:M10" si="2">L8/K$3</f>
        <v>0.93709719160784244</v>
      </c>
      <c r="N8" s="51" t="s">
        <v>37</v>
      </c>
      <c r="O8" s="52">
        <f t="shared" si="0"/>
        <v>0.12741567400357123</v>
      </c>
      <c r="S8" s="1">
        <v>78</v>
      </c>
      <c r="T8" s="1">
        <v>25531</v>
      </c>
      <c r="U8" s="1">
        <f t="shared" si="1"/>
        <v>-25453</v>
      </c>
    </row>
    <row r="9" spans="1:21" ht="29.45" customHeight="1" x14ac:dyDescent="0.2">
      <c r="A9" s="32"/>
      <c r="B9" s="30" t="s">
        <v>11</v>
      </c>
      <c r="C9" s="26">
        <v>110096788275</v>
      </c>
      <c r="D9" s="26">
        <v>5000810476</v>
      </c>
      <c r="E9" s="26" t="s">
        <v>33</v>
      </c>
      <c r="F9" s="27" t="s">
        <v>34</v>
      </c>
      <c r="G9" s="28"/>
      <c r="H9" s="28">
        <v>4</v>
      </c>
      <c r="I9" s="28">
        <f>5735+100000-24826</f>
        <v>80909</v>
      </c>
      <c r="J9" s="28" t="s">
        <v>30</v>
      </c>
      <c r="K9" s="9">
        <f>K$8-I$9</f>
        <v>101635</v>
      </c>
      <c r="L9" s="9">
        <f>L$8+I$9</f>
        <v>1130992</v>
      </c>
      <c r="M9" s="43">
        <f t="shared" si="2"/>
        <v>1.0093006237896784</v>
      </c>
      <c r="N9" s="48" t="s">
        <v>38</v>
      </c>
      <c r="O9" s="52">
        <f t="shared" si="0"/>
        <v>6.5639483801669118E-2</v>
      </c>
      <c r="S9" s="1">
        <v>471</v>
      </c>
      <c r="T9" s="1">
        <v>122115</v>
      </c>
      <c r="U9" s="1">
        <f t="shared" si="1"/>
        <v>-121644</v>
      </c>
    </row>
    <row r="10" spans="1:21" ht="29.45" customHeight="1" x14ac:dyDescent="0.2">
      <c r="A10" s="32"/>
      <c r="B10" s="30" t="s">
        <v>11</v>
      </c>
      <c r="C10" s="26">
        <v>110096770950</v>
      </c>
      <c r="D10" s="26">
        <v>5000859658</v>
      </c>
      <c r="E10" s="26" t="s">
        <v>33</v>
      </c>
      <c r="F10" s="27" t="s">
        <v>34</v>
      </c>
      <c r="G10" s="28"/>
      <c r="H10" s="28">
        <v>5</v>
      </c>
      <c r="I10" s="28">
        <f>40*(16185-13789)</f>
        <v>95840</v>
      </c>
      <c r="J10" s="28" t="s">
        <v>30</v>
      </c>
      <c r="K10" s="9">
        <f>K$9-I$10</f>
        <v>5795</v>
      </c>
      <c r="L10" s="9">
        <f>L$9+I$10</f>
        <v>1226832</v>
      </c>
      <c r="M10" s="43">
        <f t="shared" si="2"/>
        <v>1.0948285247686445</v>
      </c>
      <c r="N10" s="48" t="s">
        <v>39</v>
      </c>
      <c r="O10" s="52">
        <f t="shared" si="0"/>
        <v>7.7752637253605511E-2</v>
      </c>
      <c r="S10" s="1">
        <v>475</v>
      </c>
      <c r="T10" s="1">
        <v>114391</v>
      </c>
      <c r="U10" s="1">
        <f t="shared" si="1"/>
        <v>-113916</v>
      </c>
    </row>
    <row r="11" spans="1:21" ht="29.45" customHeight="1" x14ac:dyDescent="0.2">
      <c r="A11" s="32"/>
      <c r="B11" s="30" t="s">
        <v>11</v>
      </c>
      <c r="C11" s="26">
        <v>110096781619</v>
      </c>
      <c r="D11" s="26">
        <v>5000893421</v>
      </c>
      <c r="E11" s="26" t="s">
        <v>33</v>
      </c>
      <c r="F11" s="27" t="s">
        <v>32</v>
      </c>
      <c r="G11" s="28"/>
      <c r="H11" s="28">
        <v>6</v>
      </c>
      <c r="I11" s="28">
        <f>66325-8757</f>
        <v>57568</v>
      </c>
      <c r="J11" s="28" t="s">
        <v>30</v>
      </c>
      <c r="K11" s="9">
        <f>K$10-I$11</f>
        <v>-51773</v>
      </c>
      <c r="L11" s="9">
        <f>L$10+I$11</f>
        <v>1284400</v>
      </c>
      <c r="M11" s="43">
        <f>L11/K$3</f>
        <v>1.1462023791463274</v>
      </c>
      <c r="N11" s="48" t="s">
        <v>40</v>
      </c>
      <c r="O11" s="52">
        <v>0</v>
      </c>
      <c r="S11" s="1">
        <v>598</v>
      </c>
      <c r="T11" s="1">
        <v>118633</v>
      </c>
      <c r="U11" s="1">
        <f t="shared" si="1"/>
        <v>-118035</v>
      </c>
    </row>
    <row r="12" spans="1:21" ht="29.45" customHeight="1" x14ac:dyDescent="0.2">
      <c r="A12" s="32"/>
      <c r="B12" s="30" t="s">
        <v>11</v>
      </c>
      <c r="C12" s="26">
        <v>110096771040</v>
      </c>
      <c r="D12" s="26">
        <v>5000859522</v>
      </c>
      <c r="E12" s="26" t="s">
        <v>33</v>
      </c>
      <c r="F12" s="27" t="s">
        <v>34</v>
      </c>
      <c r="G12" s="28"/>
      <c r="H12" s="28">
        <v>7</v>
      </c>
      <c r="I12" s="28">
        <f>70326-49524</f>
        <v>20802</v>
      </c>
      <c r="J12" s="28" t="s">
        <v>30</v>
      </c>
      <c r="K12" s="9">
        <f>K$11-I$12</f>
        <v>-72575</v>
      </c>
      <c r="L12" s="9">
        <f>L$11+I$12</f>
        <v>1305202</v>
      </c>
      <c r="M12" s="43">
        <f t="shared" ref="M12:M15" si="3">L12/K$3</f>
        <v>1.1647661458007978</v>
      </c>
      <c r="N12" s="48" t="s">
        <v>42</v>
      </c>
      <c r="O12" s="52">
        <v>0</v>
      </c>
      <c r="S12" s="1">
        <v>602</v>
      </c>
      <c r="T12" s="1">
        <v>103187</v>
      </c>
      <c r="U12" s="1">
        <f t="shared" si="1"/>
        <v>-102585</v>
      </c>
    </row>
    <row r="13" spans="1:21" ht="29.45" customHeight="1" x14ac:dyDescent="0.2">
      <c r="A13" s="32"/>
      <c r="B13" s="30" t="s">
        <v>12</v>
      </c>
      <c r="C13" s="33">
        <v>110096788168</v>
      </c>
      <c r="D13" s="33">
        <v>5000851780</v>
      </c>
      <c r="E13" s="33" t="s">
        <v>33</v>
      </c>
      <c r="F13" s="35" t="s">
        <v>34</v>
      </c>
      <c r="G13" s="37"/>
      <c r="H13" s="24">
        <v>8</v>
      </c>
      <c r="I13" s="24">
        <f>82085-54318</f>
        <v>27767</v>
      </c>
      <c r="J13" s="24" t="s">
        <v>30</v>
      </c>
      <c r="K13" s="24">
        <f>K$12-I$13</f>
        <v>-100342</v>
      </c>
      <c r="L13" s="24">
        <f>L$12+I$13</f>
        <v>1332969</v>
      </c>
      <c r="M13" s="44">
        <f t="shared" si="3"/>
        <v>1.1895454991656031</v>
      </c>
      <c r="N13" s="48" t="s">
        <v>43</v>
      </c>
      <c r="O13" s="52">
        <v>0</v>
      </c>
      <c r="S13" s="1">
        <v>646</v>
      </c>
      <c r="T13" s="1">
        <v>74557</v>
      </c>
      <c r="U13" s="1">
        <f t="shared" si="1"/>
        <v>-73911</v>
      </c>
    </row>
    <row r="14" spans="1:21" ht="29.45" customHeight="1" x14ac:dyDescent="0.2">
      <c r="A14" s="32"/>
      <c r="B14" s="30" t="s">
        <v>12</v>
      </c>
      <c r="C14" s="33">
        <v>110097327370</v>
      </c>
      <c r="D14" s="33">
        <v>5001009450</v>
      </c>
      <c r="E14" s="33" t="s">
        <v>33</v>
      </c>
      <c r="F14" s="35" t="s">
        <v>34</v>
      </c>
      <c r="G14" s="37"/>
      <c r="H14" s="24">
        <v>9</v>
      </c>
      <c r="I14" s="24">
        <f>36203+100000-55111</f>
        <v>81092</v>
      </c>
      <c r="J14" s="24" t="s">
        <v>30</v>
      </c>
      <c r="K14" s="24">
        <f>K$13-I$14</f>
        <v>-181434</v>
      </c>
      <c r="L14" s="24">
        <f>L$13+I$14</f>
        <v>1414061</v>
      </c>
      <c r="M14" s="44">
        <f t="shared" si="3"/>
        <v>1.2619122410915873</v>
      </c>
      <c r="N14" s="48" t="s">
        <v>44</v>
      </c>
      <c r="O14" s="52">
        <v>0</v>
      </c>
      <c r="S14" s="1">
        <v>781</v>
      </c>
      <c r="T14" s="1">
        <v>75520</v>
      </c>
      <c r="U14" s="1">
        <f t="shared" si="1"/>
        <v>-74739</v>
      </c>
    </row>
    <row r="15" spans="1:21" ht="29.45" customHeight="1" thickBot="1" x14ac:dyDescent="0.25">
      <c r="A15" s="32"/>
      <c r="B15" s="31" t="s">
        <v>12</v>
      </c>
      <c r="C15" s="34">
        <v>110096781692</v>
      </c>
      <c r="D15" s="34">
        <v>5000571770</v>
      </c>
      <c r="E15" s="34" t="s">
        <v>33</v>
      </c>
      <c r="F15" s="36" t="s">
        <v>34</v>
      </c>
      <c r="G15" s="38"/>
      <c r="H15" s="21">
        <v>10</v>
      </c>
      <c r="I15" s="21">
        <f>40*(2848-2138)</f>
        <v>28400</v>
      </c>
      <c r="J15" s="21" t="s">
        <v>30</v>
      </c>
      <c r="K15" s="21">
        <f>K$14-I$15</f>
        <v>-209834</v>
      </c>
      <c r="L15" s="21">
        <f>L$14+I$15</f>
        <v>1442461</v>
      </c>
      <c r="M15" s="45">
        <f t="shared" si="3"/>
        <v>1.2872564855386097</v>
      </c>
      <c r="N15" s="48" t="s">
        <v>45</v>
      </c>
      <c r="O15" s="52">
        <v>0</v>
      </c>
      <c r="S15" s="1">
        <v>806</v>
      </c>
      <c r="T15" s="1">
        <v>65845</v>
      </c>
      <c r="U15" s="1">
        <f t="shared" si="1"/>
        <v>-65039</v>
      </c>
    </row>
    <row r="16" spans="1:21" ht="22.7" customHeight="1" x14ac:dyDescent="0.2">
      <c r="O16" s="53"/>
      <c r="S16" s="1">
        <v>677</v>
      </c>
      <c r="T16" s="1">
        <v>59159</v>
      </c>
      <c r="U16" s="1">
        <f t="shared" si="1"/>
        <v>-58482</v>
      </c>
    </row>
    <row r="17" spans="2:21" ht="22.7" customHeight="1" x14ac:dyDescent="0.2">
      <c r="B17" s="40" t="s">
        <v>46</v>
      </c>
      <c r="O17" s="54">
        <f>SUM(O3:O16)</f>
        <v>1.0012088003913593</v>
      </c>
      <c r="S17" s="1">
        <v>623</v>
      </c>
      <c r="T17" s="1">
        <v>69824</v>
      </c>
      <c r="U17" s="1">
        <f t="shared" si="1"/>
        <v>-69201</v>
      </c>
    </row>
    <row r="18" spans="2:21" ht="22.7" customHeight="1" x14ac:dyDescent="0.2">
      <c r="S18" s="39">
        <f>SUM(S5:S17)</f>
        <v>7285</v>
      </c>
      <c r="T18" s="39">
        <f>SUM(T5:T17)</f>
        <v>1127855</v>
      </c>
    </row>
  </sheetData>
  <autoFilter ref="B5:J5" xr:uid="{00000000-0009-0000-0000-000000000000}">
    <sortState xmlns:xlrd2="http://schemas.microsoft.com/office/spreadsheetml/2017/richdata2" ref="B6:J15">
      <sortCondition descending="1" ref="B5"/>
    </sortState>
  </autoFilter>
  <sortState xmlns:xlrd2="http://schemas.microsoft.com/office/spreadsheetml/2017/richdata2" ref="C5:L13">
    <sortCondition descending="1" ref="G5:G13"/>
    <sortCondition descending="1" ref="K5:K13"/>
  </sortState>
  <conditionalFormatting sqref="A6:A15">
    <cfRule type="cellIs" dxfId="1" priority="3" operator="equal">
      <formula>"Remove"</formula>
    </cfRule>
    <cfRule type="cellIs" dxfId="0" priority="4" operator="equal">
      <formula>"Add"</formula>
    </cfRule>
  </conditionalFormatting>
  <pageMargins left="0.7" right="0.7" top="0.75" bottom="0.75" header="0.3" footer="0.3"/>
  <pageSetup paperSize="17" scale="58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 xr:uid="{00000000-0002-0000-0000-000000000000}">
          <x14:formula1>
            <xm:f>Sheet1!$A$1:$A$10</xm:f>
          </x14:formula1>
          <xm:sqref>B6:B15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10"/>
  <sheetViews>
    <sheetView workbookViewId="0">
      <selection activeCell="B11" sqref="B11"/>
    </sheetView>
  </sheetViews>
  <sheetFormatPr defaultRowHeight="15" x14ac:dyDescent="0.2"/>
  <sheetData>
    <row r="2" spans="1:1" x14ac:dyDescent="0.2">
      <c r="A2" t="s">
        <v>11</v>
      </c>
    </row>
    <row r="3" spans="1:1" x14ac:dyDescent="0.2">
      <c r="A3" t="s">
        <v>20</v>
      </c>
    </row>
    <row r="4" spans="1:1" x14ac:dyDescent="0.2">
      <c r="A4" t="s">
        <v>14</v>
      </c>
    </row>
    <row r="5" spans="1:1" x14ac:dyDescent="0.2">
      <c r="A5" t="s">
        <v>12</v>
      </c>
    </row>
    <row r="6" spans="1:1" x14ac:dyDescent="0.2">
      <c r="A6" t="s">
        <v>15</v>
      </c>
    </row>
    <row r="7" spans="1:1" x14ac:dyDescent="0.2">
      <c r="A7" t="s">
        <v>13</v>
      </c>
    </row>
    <row r="8" spans="1:1" x14ac:dyDescent="0.2">
      <c r="A8" t="s">
        <v>23</v>
      </c>
    </row>
    <row r="9" spans="1:1" x14ac:dyDescent="0.2">
      <c r="A9" t="s">
        <v>19</v>
      </c>
    </row>
    <row r="10" spans="1:1" x14ac:dyDescent="0.2">
      <c r="A10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Analysis</vt:lpstr>
      <vt:lpstr>Sheet1</vt:lpstr>
      <vt:lpstr>Analysis!Print_Area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Remmel, Bruce</dc:creator>
  <cp:lastModifiedBy>Cindy Unangst</cp:lastModifiedBy>
  <cp:lastPrinted>2018-10-05T15:50:32Z</cp:lastPrinted>
  <dcterms:created xsi:type="dcterms:W3CDTF">2014-03-04T14:35:25Z</dcterms:created>
  <dcterms:modified xsi:type="dcterms:W3CDTF">2022-06-27T15:26:21Z</dcterms:modified>
</cp:coreProperties>
</file>